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35" windowHeight="13290" activeTab="0"/>
  </bookViews>
  <sheets>
    <sheet name="Legend" sheetId="1" r:id="rId1"/>
    <sheet name="Dish calculation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<sst xmlns="http://schemas.openxmlformats.org/spreadsheetml/2006/main" count="128" uniqueCount="42">
  <si>
    <t>Frequency</t>
  </si>
  <si>
    <t>MHz</t>
  </si>
  <si>
    <t>m</t>
  </si>
  <si>
    <t>Estimated directivity</t>
  </si>
  <si>
    <t>Estimated efficiency</t>
  </si>
  <si>
    <t>percent</t>
  </si>
  <si>
    <t>Estimated gain</t>
  </si>
  <si>
    <t>dB</t>
  </si>
  <si>
    <t>Estimated beam width</t>
  </si>
  <si>
    <t>degrees</t>
  </si>
  <si>
    <t>Lambda</t>
  </si>
  <si>
    <t>mm</t>
  </si>
  <si>
    <t>Focal distance</t>
  </si>
  <si>
    <t>Feed gain</t>
  </si>
  <si>
    <t>Gain</t>
  </si>
  <si>
    <t>times</t>
  </si>
  <si>
    <t>Reflection from dish</t>
  </si>
  <si>
    <t>gamma</t>
  </si>
  <si>
    <t>f/D</t>
  </si>
  <si>
    <t>dBi</t>
  </si>
  <si>
    <t>deg</t>
  </si>
  <si>
    <t>Dish profile</t>
  </si>
  <si>
    <t>X=</t>
  </si>
  <si>
    <t>Y=</t>
  </si>
  <si>
    <t>Feed selection calculations</t>
  </si>
  <si>
    <t>Dish basic data</t>
  </si>
  <si>
    <t>Dish diameter</t>
  </si>
  <si>
    <t>Edge angle (2x)</t>
  </si>
  <si>
    <t>Additional space loss at edge</t>
  </si>
  <si>
    <t>Feed gain reduction at edge angle</t>
  </si>
  <si>
    <t>Edge illumination</t>
  </si>
  <si>
    <t>Dish calculation sheet</t>
  </si>
  <si>
    <t xml:space="preserve">With this sheet you can create and / or analyze a parabolic dish. </t>
  </si>
  <si>
    <t>Input data fields are marked with</t>
  </si>
  <si>
    <t>Intermediate and help data fields are marked with</t>
  </si>
  <si>
    <t>Resuts fields are marked with</t>
  </si>
  <si>
    <t>Do not wrire in these fields</t>
  </si>
  <si>
    <t>Start with entering operating frequency, dish size, focal distance and your estimated efficiency.</t>
  </si>
  <si>
    <t>Point</t>
  </si>
  <si>
    <t>From this you get estimated directivity, gain and beam width as well as f/D, the dish profile in 20 points and the angle from the feed to the edge of the dish.</t>
  </si>
  <si>
    <t>Now you are ready to enter your feeds gain in the vertex direction as well as the reduction at the angle of the dish edge.</t>
  </si>
  <si>
    <t>From this you get the reflection level from the dish into the feed, the additional space loss the the edge compared to the vertex and the total edge illumination.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</si>
</sst>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  <numFmt numFmtId="166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0" borderId="2" xfId="0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/>
    </xf>
    <xf numFmtId="165" fontId="0" fillId="3" borderId="3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/>
    </xf>
    <xf numFmtId="166" fontId="0" fillId="3" borderId="1" xfId="0" applyNumberForma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3" borderId="3" xfId="0" applyFill="1" applyBorder="1" applyAlignment="1">
      <alignment/>
    </xf>
    <xf numFmtId="0" fontId="0" fillId="0" borderId="3" xfId="0" applyBorder="1" applyAlignment="1">
      <alignment horizontal="right"/>
    </xf>
    <xf numFmtId="0" fontId="0" fillId="3" borderId="3" xfId="0" applyFill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3" borderId="5" xfId="0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3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 wrapText="1"/>
    </xf>
    <xf numFmtId="0" fontId="0" fillId="2" borderId="5" xfId="0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6" fontId="0" fillId="3" borderId="23" xfId="0" applyNumberForma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0" fillId="3" borderId="26" xfId="0" applyNumberForma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right"/>
    </xf>
    <xf numFmtId="0" fontId="0" fillId="0" borderId="26" xfId="0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14" sqref="A14"/>
    </sheetView>
  </sheetViews>
  <sheetFormatPr defaultColWidth="9.140625" defaultRowHeight="12.75"/>
  <sheetData>
    <row r="1" ht="18">
      <c r="A1" s="42" t="s">
        <v>31</v>
      </c>
    </row>
    <row r="3" ht="12.75">
      <c r="A3" t="s">
        <v>32</v>
      </c>
    </row>
    <row r="5" spans="1:4" ht="12.75">
      <c r="A5" t="s">
        <v>33</v>
      </c>
      <c r="D5" s="43"/>
    </row>
    <row r="6" spans="1:7" ht="12.75">
      <c r="A6" t="s">
        <v>34</v>
      </c>
      <c r="F6" s="44"/>
      <c r="G6" t="s">
        <v>36</v>
      </c>
    </row>
    <row r="7" spans="1:5" ht="12.75">
      <c r="A7" t="s">
        <v>35</v>
      </c>
      <c r="D7" s="45"/>
      <c r="E7" t="s">
        <v>36</v>
      </c>
    </row>
    <row r="9" ht="12.75">
      <c r="A9" t="s">
        <v>37</v>
      </c>
    </row>
    <row r="10" ht="12.75">
      <c r="A10" t="s">
        <v>39</v>
      </c>
    </row>
    <row r="12" ht="12.75">
      <c r="A12" t="s">
        <v>40</v>
      </c>
    </row>
    <row r="13" ht="12.75">
      <c r="A13" t="s">
        <v>41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4"/>
  <sheetViews>
    <sheetView workbookViewId="0" topLeftCell="A1">
      <selection activeCell="B40" sqref="B40"/>
    </sheetView>
  </sheetViews>
  <sheetFormatPr defaultColWidth="9.140625" defaultRowHeight="12.75"/>
  <cols>
    <col min="1" max="1" width="18.00390625" style="0" bestFit="1" customWidth="1"/>
    <col min="5" max="5" width="26.00390625" style="0" bestFit="1" customWidth="1"/>
  </cols>
  <sheetData>
    <row r="1" ht="13.5" thickBot="1"/>
    <row r="2" spans="1:13" ht="15.75">
      <c r="A2" s="24" t="s">
        <v>25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13" ht="12.75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ht="12.75">
      <c r="A4" s="27" t="s">
        <v>0</v>
      </c>
      <c r="B4" s="2">
        <v>432</v>
      </c>
      <c r="C4" s="28" t="s">
        <v>1</v>
      </c>
      <c r="D4" s="28"/>
      <c r="E4" s="28" t="s">
        <v>3</v>
      </c>
      <c r="F4" s="3">
        <f>10*LOG(9.85*(B6*B6)/(L4*L4))</f>
        <v>27.90886593676599</v>
      </c>
      <c r="G4" s="28" t="s">
        <v>19</v>
      </c>
      <c r="H4" s="28"/>
      <c r="I4" s="28" t="s">
        <v>10</v>
      </c>
      <c r="J4" s="35">
        <f>300000/B4</f>
        <v>694.4444444444445</v>
      </c>
      <c r="K4" s="28" t="s">
        <v>11</v>
      </c>
      <c r="L4" s="36">
        <f>J4/1000</f>
        <v>0.6944444444444444</v>
      </c>
      <c r="M4" s="29" t="s">
        <v>2</v>
      </c>
    </row>
    <row r="5" spans="1:13" ht="12.75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9"/>
    </row>
    <row r="6" spans="1:13" ht="12.75">
      <c r="A6" s="27" t="s">
        <v>26</v>
      </c>
      <c r="B6" s="2">
        <v>5.5</v>
      </c>
      <c r="C6" s="28" t="s">
        <v>2</v>
      </c>
      <c r="D6" s="28"/>
      <c r="E6" s="28" t="s">
        <v>8</v>
      </c>
      <c r="F6" s="34">
        <f>SQRT(27000/10^(F8/10))</f>
        <v>8.909343585649443</v>
      </c>
      <c r="G6" s="28" t="s">
        <v>9</v>
      </c>
      <c r="H6" s="28"/>
      <c r="I6" s="28"/>
      <c r="J6" s="28"/>
      <c r="K6" s="28"/>
      <c r="L6" s="28"/>
      <c r="M6" s="29"/>
    </row>
    <row r="7" spans="1:13" ht="12.75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</row>
    <row r="8" spans="1:13" ht="12.75">
      <c r="A8" s="27" t="s">
        <v>4</v>
      </c>
      <c r="B8" s="2">
        <v>55</v>
      </c>
      <c r="C8" s="28" t="s">
        <v>5</v>
      </c>
      <c r="D8" s="28"/>
      <c r="E8" s="28" t="s">
        <v>6</v>
      </c>
      <c r="F8" s="3">
        <f>10*LOG((B8/100)*((4*3.14)*((3.14*B6*B6)/4))/(L4*L4))</f>
        <v>25.316723488196608</v>
      </c>
      <c r="G8" s="28" t="s">
        <v>19</v>
      </c>
      <c r="H8" s="28"/>
      <c r="I8" s="28"/>
      <c r="J8" s="28"/>
      <c r="K8" s="28"/>
      <c r="L8" s="28"/>
      <c r="M8" s="29"/>
    </row>
    <row r="9" spans="1:13" ht="12.75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 ht="12.75">
      <c r="A10" s="27" t="s">
        <v>12</v>
      </c>
      <c r="B10" s="2">
        <v>2.04</v>
      </c>
      <c r="C10" s="28" t="s">
        <v>2</v>
      </c>
      <c r="D10" s="28"/>
      <c r="E10" s="28" t="s">
        <v>18</v>
      </c>
      <c r="F10" s="14">
        <f>B10/B6</f>
        <v>0.3709090909090909</v>
      </c>
      <c r="G10" s="28"/>
      <c r="H10" s="28"/>
      <c r="I10" s="28"/>
      <c r="J10" s="28"/>
      <c r="K10" s="28"/>
      <c r="L10" s="28"/>
      <c r="M10" s="29"/>
    </row>
    <row r="11" spans="1:13" ht="13.5" thickBot="1">
      <c r="A11" s="30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</row>
    <row r="12" ht="13.5" thickBot="1"/>
    <row r="13" spans="1:6" ht="16.5" thickBot="1">
      <c r="A13" s="24" t="s">
        <v>21</v>
      </c>
      <c r="B13" s="25"/>
      <c r="C13" s="25"/>
      <c r="D13" s="25"/>
      <c r="E13" s="25"/>
      <c r="F13" s="26"/>
    </row>
    <row r="14" spans="1:7" ht="13.5" thickBot="1">
      <c r="A14" s="30"/>
      <c r="B14" s="32"/>
      <c r="C14" s="32"/>
      <c r="D14" s="32"/>
      <c r="E14" s="32"/>
      <c r="F14" s="32"/>
      <c r="G14" s="48" t="s">
        <v>38</v>
      </c>
    </row>
    <row r="15" spans="1:12" ht="12.75">
      <c r="A15" s="15" t="s">
        <v>22</v>
      </c>
      <c r="B15" s="16">
        <v>0</v>
      </c>
      <c r="C15" s="6" t="s">
        <v>2</v>
      </c>
      <c r="D15" s="17" t="s">
        <v>23</v>
      </c>
      <c r="E15" s="18">
        <f aca="true" t="shared" si="0" ref="E15:E34">(B15*B15)/(4*$B$10)</f>
        <v>0</v>
      </c>
      <c r="F15" s="46" t="s">
        <v>2</v>
      </c>
      <c r="G15" s="49">
        <v>1</v>
      </c>
      <c r="L15" s="37"/>
    </row>
    <row r="16" spans="1:12" ht="12.75">
      <c r="A16" s="19" t="s">
        <v>22</v>
      </c>
      <c r="B16" s="13">
        <f>($B$6/2)/20</f>
        <v>0.1375</v>
      </c>
      <c r="C16" s="1" t="s">
        <v>2</v>
      </c>
      <c r="D16" s="12" t="s">
        <v>23</v>
      </c>
      <c r="E16" s="14">
        <f t="shared" si="0"/>
        <v>0.0023169424019607848</v>
      </c>
      <c r="F16" s="47" t="s">
        <v>2</v>
      </c>
      <c r="G16" s="49">
        <v>2</v>
      </c>
      <c r="L16" s="37"/>
    </row>
    <row r="17" spans="1:12" ht="12.75">
      <c r="A17" s="19" t="s">
        <v>22</v>
      </c>
      <c r="B17" s="13">
        <f>(($B$6/2)/20)*2</f>
        <v>0.275</v>
      </c>
      <c r="C17" s="1" t="s">
        <v>2</v>
      </c>
      <c r="D17" s="12" t="s">
        <v>23</v>
      </c>
      <c r="E17" s="14">
        <f t="shared" si="0"/>
        <v>0.009267769607843139</v>
      </c>
      <c r="F17" s="47" t="s">
        <v>2</v>
      </c>
      <c r="G17" s="49">
        <v>3</v>
      </c>
      <c r="L17" s="37"/>
    </row>
    <row r="18" spans="1:7" ht="12.75">
      <c r="A18" s="19" t="s">
        <v>22</v>
      </c>
      <c r="B18" s="13">
        <f>(($B$6/2)/20)*3</f>
        <v>0.41250000000000003</v>
      </c>
      <c r="C18" s="1" t="s">
        <v>2</v>
      </c>
      <c r="D18" s="12" t="s">
        <v>23</v>
      </c>
      <c r="E18" s="14">
        <f t="shared" si="0"/>
        <v>0.020852481617647065</v>
      </c>
      <c r="F18" s="47" t="s">
        <v>2</v>
      </c>
      <c r="G18" s="49">
        <v>4</v>
      </c>
    </row>
    <row r="19" spans="1:7" ht="12.75">
      <c r="A19" s="19" t="s">
        <v>22</v>
      </c>
      <c r="B19" s="13">
        <f>(($B$6/2)/20)*5</f>
        <v>0.6875</v>
      </c>
      <c r="C19" s="1" t="s">
        <v>2</v>
      </c>
      <c r="D19" s="12" t="s">
        <v>23</v>
      </c>
      <c r="E19" s="14">
        <f t="shared" si="0"/>
        <v>0.05792356004901961</v>
      </c>
      <c r="F19" s="47" t="s">
        <v>2</v>
      </c>
      <c r="G19" s="49">
        <v>5</v>
      </c>
    </row>
    <row r="20" spans="1:7" ht="12.75">
      <c r="A20" s="19" t="s">
        <v>22</v>
      </c>
      <c r="B20" s="13">
        <f>(($B$6/2)/20)*6</f>
        <v>0.8250000000000001</v>
      </c>
      <c r="C20" s="1" t="s">
        <v>2</v>
      </c>
      <c r="D20" s="12" t="s">
        <v>23</v>
      </c>
      <c r="E20" s="14">
        <f t="shared" si="0"/>
        <v>0.08340992647058826</v>
      </c>
      <c r="F20" s="47" t="s">
        <v>2</v>
      </c>
      <c r="G20" s="49">
        <v>6</v>
      </c>
    </row>
    <row r="21" spans="1:7" ht="12.75">
      <c r="A21" s="19" t="s">
        <v>22</v>
      </c>
      <c r="B21" s="13">
        <f>(($B$6/2)/20)*7</f>
        <v>0.9625000000000001</v>
      </c>
      <c r="C21" s="1" t="s">
        <v>2</v>
      </c>
      <c r="D21" s="12" t="s">
        <v>23</v>
      </c>
      <c r="E21" s="14">
        <f t="shared" si="0"/>
        <v>0.11353017769607845</v>
      </c>
      <c r="F21" s="47" t="s">
        <v>2</v>
      </c>
      <c r="G21" s="49">
        <v>7</v>
      </c>
    </row>
    <row r="22" spans="1:7" ht="12.75">
      <c r="A22" s="19" t="s">
        <v>22</v>
      </c>
      <c r="B22" s="13">
        <f>(($B$6/2)/20)*8</f>
        <v>1.1</v>
      </c>
      <c r="C22" s="1" t="s">
        <v>2</v>
      </c>
      <c r="D22" s="12" t="s">
        <v>23</v>
      </c>
      <c r="E22" s="14">
        <f t="shared" si="0"/>
        <v>0.14828431372549022</v>
      </c>
      <c r="F22" s="47" t="s">
        <v>2</v>
      </c>
      <c r="G22" s="49">
        <v>8</v>
      </c>
    </row>
    <row r="23" spans="1:7" ht="12.75">
      <c r="A23" s="19" t="s">
        <v>22</v>
      </c>
      <c r="B23" s="13">
        <f>(($B$6/2)/20)*9</f>
        <v>1.2375</v>
      </c>
      <c r="C23" s="1" t="s">
        <v>2</v>
      </c>
      <c r="D23" s="12" t="s">
        <v>23</v>
      </c>
      <c r="E23" s="14">
        <f t="shared" si="0"/>
        <v>0.18767233455882354</v>
      </c>
      <c r="F23" s="47" t="s">
        <v>2</v>
      </c>
      <c r="G23" s="49">
        <v>9</v>
      </c>
    </row>
    <row r="24" spans="1:7" ht="12.75">
      <c r="A24" s="19" t="s">
        <v>22</v>
      </c>
      <c r="B24" s="13">
        <f>(($B$6/2)/20)*10</f>
        <v>1.375</v>
      </c>
      <c r="C24" s="1" t="s">
        <v>2</v>
      </c>
      <c r="D24" s="12" t="s">
        <v>23</v>
      </c>
      <c r="E24" s="14">
        <f t="shared" si="0"/>
        <v>0.23169424019607843</v>
      </c>
      <c r="F24" s="47" t="s">
        <v>2</v>
      </c>
      <c r="G24" s="49">
        <v>10</v>
      </c>
    </row>
    <row r="25" spans="1:7" ht="12.75">
      <c r="A25" s="19" t="s">
        <v>22</v>
      </c>
      <c r="B25" s="13">
        <f>(($B$6/2)/20)*11</f>
        <v>1.5125000000000002</v>
      </c>
      <c r="C25" s="1" t="s">
        <v>2</v>
      </c>
      <c r="D25" s="12" t="s">
        <v>23</v>
      </c>
      <c r="E25" s="14">
        <f t="shared" si="0"/>
        <v>0.28035003063725494</v>
      </c>
      <c r="F25" s="47" t="s">
        <v>2</v>
      </c>
      <c r="G25" s="49">
        <v>11</v>
      </c>
    </row>
    <row r="26" spans="1:7" ht="12.75">
      <c r="A26" s="19" t="s">
        <v>22</v>
      </c>
      <c r="B26" s="13">
        <f>(($B$6/2)/20)*12</f>
        <v>1.6500000000000001</v>
      </c>
      <c r="C26" s="1" t="s">
        <v>2</v>
      </c>
      <c r="D26" s="12" t="s">
        <v>23</v>
      </c>
      <c r="E26" s="14">
        <f t="shared" si="0"/>
        <v>0.33363970588235303</v>
      </c>
      <c r="F26" s="47" t="s">
        <v>2</v>
      </c>
      <c r="G26" s="49">
        <v>12</v>
      </c>
    </row>
    <row r="27" spans="1:7" ht="12.75">
      <c r="A27" s="19" t="s">
        <v>22</v>
      </c>
      <c r="B27" s="13">
        <f>(($B$6/2)/20)*13</f>
        <v>1.7875</v>
      </c>
      <c r="C27" s="1" t="s">
        <v>2</v>
      </c>
      <c r="D27" s="12" t="s">
        <v>23</v>
      </c>
      <c r="E27" s="14">
        <f t="shared" si="0"/>
        <v>0.3915632659313726</v>
      </c>
      <c r="F27" s="47" t="s">
        <v>2</v>
      </c>
      <c r="G27" s="49">
        <v>13</v>
      </c>
    </row>
    <row r="28" spans="1:7" ht="12.75">
      <c r="A28" s="19" t="s">
        <v>22</v>
      </c>
      <c r="B28" s="13">
        <f>(($B$6/2)/20)*14</f>
        <v>1.9250000000000003</v>
      </c>
      <c r="C28" s="1" t="s">
        <v>2</v>
      </c>
      <c r="D28" s="12" t="s">
        <v>23</v>
      </c>
      <c r="E28" s="14">
        <f t="shared" si="0"/>
        <v>0.4541207107843138</v>
      </c>
      <c r="F28" s="47" t="s">
        <v>2</v>
      </c>
      <c r="G28" s="49">
        <v>14</v>
      </c>
    </row>
    <row r="29" spans="1:7" ht="12.75">
      <c r="A29" s="19" t="s">
        <v>22</v>
      </c>
      <c r="B29" s="13">
        <f>(($B$6/2)/20)*15</f>
        <v>2.0625</v>
      </c>
      <c r="C29" s="1" t="s">
        <v>2</v>
      </c>
      <c r="D29" s="12" t="s">
        <v>23</v>
      </c>
      <c r="E29" s="14">
        <f t="shared" si="0"/>
        <v>0.5213120404411765</v>
      </c>
      <c r="F29" s="47" t="s">
        <v>2</v>
      </c>
      <c r="G29" s="49">
        <v>15</v>
      </c>
    </row>
    <row r="30" spans="1:7" ht="12.75">
      <c r="A30" s="19" t="s">
        <v>22</v>
      </c>
      <c r="B30" s="13">
        <f>(($B$6/2)/20)*16</f>
        <v>2.2</v>
      </c>
      <c r="C30" s="1" t="s">
        <v>2</v>
      </c>
      <c r="D30" s="12" t="s">
        <v>23</v>
      </c>
      <c r="E30" s="14">
        <f t="shared" si="0"/>
        <v>0.5931372549019609</v>
      </c>
      <c r="F30" s="47" t="s">
        <v>2</v>
      </c>
      <c r="G30" s="49">
        <v>16</v>
      </c>
    </row>
    <row r="31" spans="1:7" ht="12.75">
      <c r="A31" s="19" t="s">
        <v>22</v>
      </c>
      <c r="B31" s="13">
        <f>(($B$6/2)/20)*17</f>
        <v>2.3375000000000004</v>
      </c>
      <c r="C31" s="1" t="s">
        <v>2</v>
      </c>
      <c r="D31" s="12" t="s">
        <v>23</v>
      </c>
      <c r="E31" s="14">
        <f t="shared" si="0"/>
        <v>0.6695963541666669</v>
      </c>
      <c r="F31" s="47" t="s">
        <v>2</v>
      </c>
      <c r="G31" s="49">
        <v>17</v>
      </c>
    </row>
    <row r="32" spans="1:7" ht="12.75">
      <c r="A32" s="19" t="s">
        <v>22</v>
      </c>
      <c r="B32" s="13">
        <f>(($B$6/2)/20)*18</f>
        <v>2.475</v>
      </c>
      <c r="C32" s="1" t="s">
        <v>2</v>
      </c>
      <c r="D32" s="12" t="s">
        <v>23</v>
      </c>
      <c r="E32" s="14">
        <f t="shared" si="0"/>
        <v>0.7506893382352942</v>
      </c>
      <c r="F32" s="47" t="s">
        <v>2</v>
      </c>
      <c r="G32" s="49">
        <v>18</v>
      </c>
    </row>
    <row r="33" spans="1:7" ht="12.75">
      <c r="A33" s="19" t="s">
        <v>22</v>
      </c>
      <c r="B33" s="13">
        <f>(($B$6/2)/20)*19</f>
        <v>2.6125000000000003</v>
      </c>
      <c r="C33" s="1" t="s">
        <v>2</v>
      </c>
      <c r="D33" s="12" t="s">
        <v>23</v>
      </c>
      <c r="E33" s="14">
        <f t="shared" si="0"/>
        <v>0.8364162071078434</v>
      </c>
      <c r="F33" s="47" t="s">
        <v>2</v>
      </c>
      <c r="G33" s="49">
        <v>19</v>
      </c>
    </row>
    <row r="34" spans="1:7" ht="13.5" thickBot="1">
      <c r="A34" s="21" t="s">
        <v>22</v>
      </c>
      <c r="B34" s="22">
        <f>(($B$6/2)/20)*20</f>
        <v>2.75</v>
      </c>
      <c r="C34" s="56" t="s">
        <v>2</v>
      </c>
      <c r="D34" s="57" t="s">
        <v>23</v>
      </c>
      <c r="E34" s="51">
        <f t="shared" si="0"/>
        <v>0.9267769607843137</v>
      </c>
      <c r="F34" s="52" t="s">
        <v>2</v>
      </c>
      <c r="G34" s="50">
        <v>20</v>
      </c>
    </row>
    <row r="35" spans="3:6" ht="13.5" thickBot="1">
      <c r="C35" s="53" t="s">
        <v>27</v>
      </c>
      <c r="D35" s="58"/>
      <c r="E35" s="54">
        <f>360/(2*PI())*ACOS((B10-E34)/(SQRT((B34*B34)+((B10-E34)*(B10-E34)))))</f>
        <v>67.96148521162053</v>
      </c>
      <c r="F35" s="55" t="s">
        <v>20</v>
      </c>
    </row>
    <row r="37" ht="15.75">
      <c r="A37" s="23" t="s">
        <v>24</v>
      </c>
    </row>
    <row r="38" ht="13.5" thickBot="1"/>
    <row r="39" spans="1:11" ht="12.75">
      <c r="A39" s="4" t="s">
        <v>13</v>
      </c>
      <c r="B39" s="5">
        <v>9.2</v>
      </c>
      <c r="C39" s="6" t="s">
        <v>7</v>
      </c>
      <c r="D39" s="6"/>
      <c r="E39" s="6" t="s">
        <v>16</v>
      </c>
      <c r="F39" s="7">
        <f>(J39*L4)/(4*3.14*B10)</f>
        <v>0.2254331092842241</v>
      </c>
      <c r="G39" s="6" t="s">
        <v>17</v>
      </c>
      <c r="H39" s="6"/>
      <c r="I39" s="6" t="s">
        <v>14</v>
      </c>
      <c r="J39" s="8">
        <f>10^(B39/10)</f>
        <v>8.31763771102671</v>
      </c>
      <c r="K39" s="9" t="s">
        <v>15</v>
      </c>
    </row>
    <row r="40" spans="1:11" ht="12.75">
      <c r="A40" s="38"/>
      <c r="B40" s="1"/>
      <c r="C40" s="1"/>
      <c r="D40" s="1"/>
      <c r="E40" s="1"/>
      <c r="F40" s="3">
        <f>ABS(20*LOG(F39))</f>
        <v>12.939645978446514</v>
      </c>
      <c r="G40" s="1" t="s">
        <v>7</v>
      </c>
      <c r="H40" s="1"/>
      <c r="I40" s="1"/>
      <c r="J40" s="1"/>
      <c r="K40" s="20"/>
    </row>
    <row r="41" spans="1:11" ht="12.75">
      <c r="A41" s="38"/>
      <c r="B41" s="1"/>
      <c r="C41" s="1"/>
      <c r="D41" s="1"/>
      <c r="E41" s="1"/>
      <c r="F41" s="1"/>
      <c r="G41" s="1"/>
      <c r="H41" s="1"/>
      <c r="I41" s="1"/>
      <c r="J41" s="1"/>
      <c r="K41" s="20"/>
    </row>
    <row r="42" spans="1:11" ht="12.75">
      <c r="A42" s="38"/>
      <c r="B42" s="1"/>
      <c r="C42" s="1"/>
      <c r="D42" s="1"/>
      <c r="E42" s="1" t="s">
        <v>28</v>
      </c>
      <c r="F42" s="34">
        <f>20*LOG((SQRT((B34*B34)+((B10-E34)*(B10-E34))))/B10)</f>
        <v>3.253094606186754</v>
      </c>
      <c r="G42" s="1" t="s">
        <v>7</v>
      </c>
      <c r="H42" s="1"/>
      <c r="I42" s="1"/>
      <c r="J42" s="1"/>
      <c r="K42" s="20"/>
    </row>
    <row r="43" spans="1:11" ht="12.75">
      <c r="A43" s="38"/>
      <c r="B43" s="1"/>
      <c r="C43" s="1"/>
      <c r="D43" s="1"/>
      <c r="E43" s="1"/>
      <c r="F43" s="1"/>
      <c r="G43" s="1"/>
      <c r="H43" s="1"/>
      <c r="I43" s="1"/>
      <c r="J43" s="1"/>
      <c r="K43" s="20"/>
    </row>
    <row r="44" spans="1:11" ht="26.25" thickBot="1">
      <c r="A44" s="39" t="s">
        <v>29</v>
      </c>
      <c r="B44" s="40">
        <v>12</v>
      </c>
      <c r="C44" s="10" t="s">
        <v>7</v>
      </c>
      <c r="D44" s="10"/>
      <c r="E44" s="10" t="s">
        <v>30</v>
      </c>
      <c r="F44" s="41">
        <f>B44+F42</f>
        <v>15.253094606186753</v>
      </c>
      <c r="G44" s="10" t="s">
        <v>7</v>
      </c>
      <c r="H44" s="10"/>
      <c r="I44" s="10"/>
      <c r="J44" s="10"/>
      <c r="K44" s="11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Ingela</dc:creator>
  <cp:keywords/>
  <dc:description/>
  <cp:lastModifiedBy>Ingela</cp:lastModifiedBy>
  <dcterms:created xsi:type="dcterms:W3CDTF">2010-11-13T10:11:39Z</dcterms:created>
  <dcterms:modified xsi:type="dcterms:W3CDTF">2010-12-22T16:08:27Z</dcterms:modified>
  <cp:category/>
  <cp:version/>
  <cp:contentType/>
  <cp:contentStatus/>
</cp:coreProperties>
</file>